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360" windowWidth="7185" windowHeight="7755" activeTab="0"/>
  </bookViews>
  <sheets>
    <sheet name="BPV-Duration" sheetId="1" r:id="rId1"/>
    <sheet name="Tabelle2" sheetId="2" r:id="rId2"/>
    <sheet name="Tabelle3" sheetId="3" r:id="rId3"/>
  </sheets>
  <definedNames>
    <definedName name="Coupon_in">#REF!</definedName>
    <definedName name="Marktzinssatz_in">#REF!</definedName>
    <definedName name="Nominale_in_GE">#REF!</definedName>
    <definedName name="Restlaufzeit_in_Jahren">#REF!</definedName>
    <definedName name="Tilgung_in">#REF!</definedName>
  </definedNames>
  <calcPr fullCalcOnLoad="1"/>
</workbook>
</file>

<file path=xl/sharedStrings.xml><?xml version="1.0" encoding="utf-8"?>
<sst xmlns="http://schemas.openxmlformats.org/spreadsheetml/2006/main" count="37" uniqueCount="37">
  <si>
    <t>Cashflow</t>
  </si>
  <si>
    <t>Zahlung</t>
  </si>
  <si>
    <t>Laufzeit (Jahre):</t>
  </si>
  <si>
    <t>Kupon:</t>
  </si>
  <si>
    <t>Jahr</t>
  </si>
  <si>
    <t>Barwert</t>
  </si>
  <si>
    <t>Jahr*Barwert</t>
  </si>
  <si>
    <t>Summe:</t>
  </si>
  <si>
    <t>DURATION</t>
  </si>
  <si>
    <t>Durationsformel von Excel liefert:</t>
  </si>
  <si>
    <t>Marktzins(Rendite):</t>
  </si>
  <si>
    <t>Renditeänderung von</t>
  </si>
  <si>
    <t>ergibt Sensitivität:</t>
  </si>
  <si>
    <r>
      <t>Barwert/Barwert</t>
    </r>
    <r>
      <rPr>
        <vertAlign val="subscript"/>
        <sz val="10"/>
        <rFont val="Arial"/>
        <family val="2"/>
      </rPr>
      <t>gesamt</t>
    </r>
  </si>
  <si>
    <r>
      <t>Barwert/Barwert</t>
    </r>
    <r>
      <rPr>
        <vertAlign val="subscript"/>
        <sz val="10"/>
        <rFont val="Arial"/>
        <family val="2"/>
      </rPr>
      <t xml:space="preserve">gesamt </t>
    </r>
    <r>
      <rPr>
        <sz val="10"/>
        <rFont val="Arial"/>
        <family val="2"/>
      </rPr>
      <t>*Jahr</t>
    </r>
  </si>
  <si>
    <t>BP</t>
  </si>
  <si>
    <t>(Kurs)</t>
  </si>
  <si>
    <t>(gewichtete BW)</t>
  </si>
  <si>
    <t>Für die Verwendung der Excel-Funktionen ist die Annahme von Kalenderdaten nötig</t>
  </si>
  <si>
    <t>Beginn</t>
  </si>
  <si>
    <t>(ganzzahlige Laufzeit, Tilgung 100)</t>
  </si>
  <si>
    <t>Ende</t>
  </si>
  <si>
    <t>(relative Anteile)</t>
  </si>
  <si>
    <t>Kursformel von Excel liefert:</t>
  </si>
  <si>
    <t>(Bem.: Wert ergibt sich nur, wenn der Abrechnungstag  mitzählt)</t>
  </si>
  <si>
    <t>modifizierte Duration von Excel liefert::</t>
  </si>
  <si>
    <r>
      <t>Basis Point Value</t>
    </r>
    <r>
      <rPr>
        <sz val="10"/>
        <rFont val="Arial"/>
        <family val="0"/>
      </rPr>
      <t xml:space="preserve"> (-Jahr*Barwert/(1+Rendite)/10000)</t>
    </r>
  </si>
  <si>
    <r>
      <t xml:space="preserve">modifizierte Duration </t>
    </r>
    <r>
      <rPr>
        <sz val="10"/>
        <rFont val="Arial"/>
        <family val="0"/>
      </rPr>
      <t xml:space="preserve"> (-BPV*10000/Kurs))</t>
    </r>
  </si>
  <si>
    <t>Änderung der Rendite (BP)</t>
  </si>
  <si>
    <r>
      <t xml:space="preserve">Änderung des Kurses absolut </t>
    </r>
    <r>
      <rPr>
        <sz val="10"/>
        <rFont val="Arial"/>
        <family val="2"/>
      </rPr>
      <t>(BPV*BP)</t>
    </r>
  </si>
  <si>
    <t>Kurs alt</t>
  </si>
  <si>
    <r>
      <t xml:space="preserve">Änderung des Kurses relativ </t>
    </r>
    <r>
      <rPr>
        <sz val="10"/>
        <rFont val="Arial"/>
        <family val="2"/>
      </rPr>
      <t>(-ModDur*BP/100)</t>
    </r>
  </si>
  <si>
    <t>lineare Näherung</t>
  </si>
  <si>
    <t>exakter Wert</t>
  </si>
  <si>
    <t>in %</t>
  </si>
  <si>
    <t>Basis Point Value (BPV) und Duration einer Kuponanleihe</t>
  </si>
  <si>
    <t xml:space="preserve">  </t>
  </si>
</sst>
</file>

<file path=xl/styles.xml><?xml version="1.0" encoding="utf-8"?>
<styleSheet xmlns="http://schemas.openxmlformats.org/spreadsheetml/2006/main">
  <numFmts count="2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0000\ _D_M_-;\-* #,##0.000000\ _D_M_-;_-* &quot;-&quot;??????\ _D_M_-;_-@_-"/>
    <numFmt numFmtId="173" formatCode="#,##0.0000\ &quot;DM&quot;"/>
    <numFmt numFmtId="174" formatCode="0.0000"/>
    <numFmt numFmtId="175" formatCode="#,##0.0000\ [$€-1]"/>
    <numFmt numFmtId="176" formatCode="#,##0.0000"/>
    <numFmt numFmtId="177" formatCode="#,##0.000000"/>
    <numFmt numFmtId="178" formatCode="0.000000"/>
    <numFmt numFmtId="179" formatCode="0.0000000"/>
    <numFmt numFmtId="180" formatCode="0.00000000"/>
    <numFmt numFmtId="181" formatCode="0.000000%"/>
    <numFmt numFmtId="182" formatCode="#,##0.000000_ ;\-#,##0.000000\ "/>
  </numFmts>
  <fonts count="13">
    <font>
      <sz val="10"/>
      <name val="Arial"/>
      <family val="0"/>
    </font>
    <font>
      <b/>
      <sz val="12"/>
      <name val="Arial"/>
      <family val="2"/>
    </font>
    <font>
      <vertAlign val="subscript"/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b/>
      <sz val="11"/>
      <name val="Arial"/>
      <family val="0"/>
    </font>
    <font>
      <b/>
      <sz val="9.25"/>
      <name val="Arial"/>
      <family val="0"/>
    </font>
    <font>
      <sz val="9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10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0" fontId="0" fillId="0" borderId="19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2" xfId="0" applyFont="1" applyBorder="1" applyAlignment="1">
      <alignment/>
    </xf>
    <xf numFmtId="10" fontId="5" fillId="0" borderId="4" xfId="0" applyNumberFormat="1" applyFont="1" applyBorder="1" applyAlignment="1">
      <alignment/>
    </xf>
    <xf numFmtId="10" fontId="5" fillId="0" borderId="6" xfId="0" applyNumberFormat="1" applyFon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4" xfId="0" applyNumberFormat="1" applyBorder="1" applyAlignment="1">
      <alignment/>
    </xf>
    <xf numFmtId="177" fontId="4" fillId="0" borderId="7" xfId="0" applyNumberFormat="1" applyFont="1" applyBorder="1" applyAlignment="1">
      <alignment/>
    </xf>
    <xf numFmtId="178" fontId="0" fillId="0" borderId="21" xfId="0" applyNumberFormat="1" applyBorder="1" applyAlignment="1">
      <alignment horizontal="center"/>
    </xf>
    <xf numFmtId="178" fontId="3" fillId="2" borderId="10" xfId="0" applyNumberFormat="1" applyFont="1" applyFill="1" applyBorder="1" applyAlignment="1">
      <alignment horizontal="center"/>
    </xf>
    <xf numFmtId="179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0" fontId="5" fillId="0" borderId="9" xfId="0" applyNumberFormat="1" applyFont="1" applyBorder="1" applyAlignment="1">
      <alignment horizontal="center"/>
    </xf>
    <xf numFmtId="177" fontId="4" fillId="0" borderId="22" xfId="0" applyNumberFormat="1" applyFont="1" applyBorder="1" applyAlignment="1">
      <alignment/>
    </xf>
    <xf numFmtId="177" fontId="4" fillId="0" borderId="19" xfId="0" applyNumberFormat="1" applyFont="1" applyBorder="1" applyAlignment="1">
      <alignment/>
    </xf>
    <xf numFmtId="177" fontId="4" fillId="0" borderId="23" xfId="0" applyNumberFormat="1" applyFont="1" applyBorder="1" applyAlignment="1">
      <alignment/>
    </xf>
    <xf numFmtId="0" fontId="4" fillId="0" borderId="3" xfId="0" applyFont="1" applyBorder="1" applyAlignment="1">
      <alignment/>
    </xf>
    <xf numFmtId="14" fontId="8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0" fillId="0" borderId="0" xfId="0" applyNumberFormat="1" applyFont="1" applyAlignment="1">
      <alignment/>
    </xf>
    <xf numFmtId="182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0" fontId="9" fillId="0" borderId="24" xfId="0" applyFont="1" applyBorder="1" applyAlignment="1" applyProtection="1">
      <alignment/>
      <protection hidden="1"/>
    </xf>
    <xf numFmtId="177" fontId="0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177" fontId="0" fillId="0" borderId="24" xfId="0" applyNumberFormat="1" applyBorder="1" applyAlignment="1">
      <alignment/>
    </xf>
    <xf numFmtId="0" fontId="4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5" fillId="0" borderId="26" xfId="0" applyFont="1" applyBorder="1" applyAlignment="1">
      <alignment/>
    </xf>
    <xf numFmtId="10" fontId="5" fillId="0" borderId="26" xfId="0" applyNumberFormat="1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7" xfId="0" applyBorder="1" applyAlignment="1">
      <alignment/>
    </xf>
    <xf numFmtId="0" fontId="4" fillId="0" borderId="14" xfId="0" applyFont="1" applyBorder="1" applyAlignment="1">
      <alignment/>
    </xf>
    <xf numFmtId="0" fontId="0" fillId="0" borderId="28" xfId="0" applyBorder="1" applyAlignment="1">
      <alignment horizontal="center"/>
    </xf>
    <xf numFmtId="177" fontId="0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81" fontId="4" fillId="0" borderId="30" xfId="0" applyNumberFormat="1" applyFont="1" applyBorder="1" applyAlignment="1">
      <alignment/>
    </xf>
    <xf numFmtId="181" fontId="4" fillId="0" borderId="30" xfId="0" applyNumberFormat="1" applyFont="1" applyBorder="1" applyAlignment="1">
      <alignment horizontal="center"/>
    </xf>
    <xf numFmtId="181" fontId="0" fillId="0" borderId="31" xfId="0" applyNumberFormat="1" applyFont="1" applyBorder="1" applyAlignment="1">
      <alignment/>
    </xf>
    <xf numFmtId="0" fontId="5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Cashflow Kuponanleihe</a:t>
            </a:r>
          </a:p>
        </c:rich>
      </c:tx>
      <c:layout>
        <c:manualLayout>
          <c:xMode val="factor"/>
          <c:yMode val="factor"/>
          <c:x val="-0.0062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785"/>
          <c:w val="0.8022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v>Auszahlungen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'BPV-Duration'!$B$12:$B$21</c:f>
              <c:numCache>
                <c:ptCount val="1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106</c:v>
                </c:pt>
                <c:pt idx="9">
                  <c:v>0</c:v>
                </c:pt>
              </c:numCache>
            </c:numRef>
          </c:val>
        </c:ser>
        <c:axId val="26433569"/>
        <c:axId val="36575530"/>
      </c:barChart>
      <c:catAx>
        <c:axId val="26433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75530"/>
        <c:crosses val="autoZero"/>
        <c:auto val="1"/>
        <c:lblOffset val="100"/>
        <c:noMultiLvlLbl val="0"/>
      </c:catAx>
      <c:valAx>
        <c:axId val="3657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33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7"/>
          <c:y val="0.8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39</xdr:row>
      <xdr:rowOff>0</xdr:rowOff>
    </xdr:from>
    <xdr:to>
      <xdr:col>4</xdr:col>
      <xdr:colOff>1266825</xdr:colOff>
      <xdr:row>53</xdr:row>
      <xdr:rowOff>66675</xdr:rowOff>
    </xdr:to>
    <xdr:graphicFrame>
      <xdr:nvGraphicFramePr>
        <xdr:cNvPr id="1" name="Chart 10"/>
        <xdr:cNvGraphicFramePr/>
      </xdr:nvGraphicFramePr>
      <xdr:xfrm>
        <a:off x="676275" y="6943725"/>
        <a:ext cx="46767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5">
      <pane ySplit="2250" topLeftCell="BM24" activePane="topLeft" state="split"/>
      <selection pane="topLeft" activeCell="D8" sqref="D8"/>
      <selection pane="bottomLeft" activeCell="A7" sqref="A7"/>
    </sheetView>
  </sheetViews>
  <sheetFormatPr defaultColWidth="11.421875" defaultRowHeight="12.75"/>
  <cols>
    <col min="1" max="1" width="16.57421875" style="0" customWidth="1"/>
    <col min="2" max="2" width="11.28125" style="0" customWidth="1"/>
    <col min="3" max="3" width="16.8515625" style="0" customWidth="1"/>
    <col min="4" max="4" width="16.57421875" style="0" customWidth="1"/>
    <col min="5" max="5" width="19.28125" style="0" customWidth="1"/>
    <col min="6" max="6" width="24.00390625" style="0" customWidth="1"/>
    <col min="7" max="7" width="17.421875" style="0" customWidth="1"/>
  </cols>
  <sheetData>
    <row r="1" ht="15.75">
      <c r="A1" s="1" t="s">
        <v>35</v>
      </c>
    </row>
    <row r="2" ht="15.75">
      <c r="A2" s="1" t="s">
        <v>20</v>
      </c>
    </row>
    <row r="3" ht="15.75">
      <c r="A3" s="1"/>
    </row>
    <row r="4" ht="15">
      <c r="A4" s="29"/>
    </row>
    <row r="5" spans="3:6" ht="13.5" thickBot="1">
      <c r="C5" s="26" t="s">
        <v>15</v>
      </c>
      <c r="E5" s="40" t="s">
        <v>19</v>
      </c>
      <c r="F5" s="40" t="s">
        <v>21</v>
      </c>
    </row>
    <row r="6" spans="1:7" ht="20.25" customHeight="1">
      <c r="A6" s="2" t="s">
        <v>2</v>
      </c>
      <c r="B6" s="3"/>
      <c r="C6" s="3"/>
      <c r="D6" s="31">
        <v>9</v>
      </c>
      <c r="E6" s="47">
        <v>36526</v>
      </c>
      <c r="F6" s="47">
        <f>_XLL.MONATSENDE(E6,D6*12-1)</f>
        <v>39813</v>
      </c>
      <c r="G6" s="30"/>
    </row>
    <row r="7" spans="1:6" ht="20.25" customHeight="1">
      <c r="A7" s="4" t="s">
        <v>3</v>
      </c>
      <c r="B7" s="5"/>
      <c r="C7" s="5">
        <v>60</v>
      </c>
      <c r="D7" s="32">
        <f>C7/1000</f>
        <v>0.06</v>
      </c>
      <c r="E7" s="40" t="s">
        <v>18</v>
      </c>
      <c r="F7" s="40"/>
    </row>
    <row r="8" spans="1:4" ht="21" customHeight="1" thickBot="1">
      <c r="A8" s="6" t="s">
        <v>10</v>
      </c>
      <c r="B8" s="7"/>
      <c r="C8" s="7">
        <v>549</v>
      </c>
      <c r="D8" s="33">
        <f>C8/10000</f>
        <v>0.0549</v>
      </c>
    </row>
    <row r="9" ht="13.5" thickBot="1"/>
    <row r="10" spans="1:2" ht="13.5" thickBot="1">
      <c r="A10" s="2" t="s">
        <v>0</v>
      </c>
      <c r="B10" s="3"/>
    </row>
    <row r="11" spans="1:6" ht="16.5" thickBot="1">
      <c r="A11" s="8" t="s">
        <v>4</v>
      </c>
      <c r="B11" s="9" t="s">
        <v>1</v>
      </c>
      <c r="C11" s="10" t="s">
        <v>5</v>
      </c>
      <c r="D11" s="11" t="s">
        <v>6</v>
      </c>
      <c r="E11" s="11" t="s">
        <v>13</v>
      </c>
      <c r="F11" s="12" t="s">
        <v>14</v>
      </c>
    </row>
    <row r="12" spans="1:6" ht="12.75">
      <c r="A12" s="13">
        <v>1</v>
      </c>
      <c r="B12" s="14">
        <f>IF($D$6-A12&gt;-1,$D$7*100,0)+IF($D$6-A12&lt;&gt;0,0,100)</f>
        <v>6</v>
      </c>
      <c r="C12" s="34">
        <f>$B12/(1+$D$8)^$A12</f>
        <v>5.687742914020286</v>
      </c>
      <c r="D12" s="34">
        <f>C12*A12</f>
        <v>5.687742914020286</v>
      </c>
      <c r="E12" s="15">
        <f>C12/$C$22</f>
        <v>0.05492899815605412</v>
      </c>
      <c r="F12" s="37">
        <f>E12*A12</f>
        <v>0.05492899815605412</v>
      </c>
    </row>
    <row r="13" spans="1:6" ht="12.75">
      <c r="A13" s="16">
        <v>2</v>
      </c>
      <c r="B13" s="14">
        <f aca="true" t="shared" si="0" ref="B13:B21">IF($D$6-A13&gt;-1,$D$7*100,0)+IF($D$6-A13&lt;&gt;0,0,100)</f>
        <v>6</v>
      </c>
      <c r="C13" s="35">
        <f>$B13/(1+$D$8)^$A13</f>
        <v>5.391736575997997</v>
      </c>
      <c r="D13" s="34">
        <f aca="true" t="shared" si="1" ref="D13:D21">C13*A13</f>
        <v>10.783473151995993</v>
      </c>
      <c r="E13" s="15">
        <f aca="true" t="shared" si="2" ref="E13:E21">C13/$C$22</f>
        <v>0.052070336672721707</v>
      </c>
      <c r="F13" s="37">
        <f aca="true" t="shared" si="3" ref="F13:F21">E13*A13</f>
        <v>0.10414067334544341</v>
      </c>
    </row>
    <row r="14" spans="1:6" ht="12.75">
      <c r="A14" s="16">
        <v>3</v>
      </c>
      <c r="B14" s="14">
        <f t="shared" si="0"/>
        <v>6</v>
      </c>
      <c r="C14" s="35">
        <f>$B14/(1+$D$8)^$A14</f>
        <v>5.111135250732768</v>
      </c>
      <c r="D14" s="34">
        <f t="shared" si="1"/>
        <v>15.333405752198303</v>
      </c>
      <c r="E14" s="15">
        <f t="shared" si="2"/>
        <v>0.04936044807348725</v>
      </c>
      <c r="F14" s="37">
        <f t="shared" si="3"/>
        <v>0.14808134422046176</v>
      </c>
    </row>
    <row r="15" spans="1:6" ht="12.75">
      <c r="A15" s="16">
        <v>4</v>
      </c>
      <c r="B15" s="14">
        <f t="shared" si="0"/>
        <v>6</v>
      </c>
      <c r="C15" s="35">
        <f>$B15/(1+$D$8)^$A15</f>
        <v>4.845137217492433</v>
      </c>
      <c r="D15" s="34">
        <f t="shared" si="1"/>
        <v>19.380548869969733</v>
      </c>
      <c r="E15" s="15">
        <f t="shared" si="2"/>
        <v>0.04679158979380724</v>
      </c>
      <c r="F15" s="37">
        <f t="shared" si="3"/>
        <v>0.18716635917522895</v>
      </c>
    </row>
    <row r="16" spans="1:6" ht="12.75">
      <c r="A16" s="17">
        <v>5</v>
      </c>
      <c r="B16" s="14">
        <f t="shared" si="0"/>
        <v>6</v>
      </c>
      <c r="C16" s="35">
        <f aca="true" t="shared" si="4" ref="C16:C21">$B16/(1+$D$8)^$A16</f>
        <v>4.592982479374759</v>
      </c>
      <c r="D16" s="34">
        <f t="shared" si="1"/>
        <v>22.964912396873792</v>
      </c>
      <c r="E16" s="15">
        <f t="shared" si="2"/>
        <v>0.04435642221424518</v>
      </c>
      <c r="F16" s="37">
        <f t="shared" si="3"/>
        <v>0.2217821110712259</v>
      </c>
    </row>
    <row r="17" spans="1:6" ht="12.75">
      <c r="A17" s="17">
        <v>6</v>
      </c>
      <c r="B17" s="14">
        <f t="shared" si="0"/>
        <v>6</v>
      </c>
      <c r="C17" s="35">
        <f t="shared" si="4"/>
        <v>4.353950591880519</v>
      </c>
      <c r="D17" s="34">
        <f t="shared" si="1"/>
        <v>26.123703551283114</v>
      </c>
      <c r="E17" s="15">
        <f t="shared" si="2"/>
        <v>0.042047987690060844</v>
      </c>
      <c r="F17" s="37">
        <f t="shared" si="3"/>
        <v>0.25228792614036505</v>
      </c>
    </row>
    <row r="18" spans="1:6" ht="12.75">
      <c r="A18" s="17">
        <v>7</v>
      </c>
      <c r="B18" s="14">
        <f t="shared" si="0"/>
        <v>6</v>
      </c>
      <c r="C18" s="35">
        <f t="shared" si="4"/>
        <v>4.127358604493808</v>
      </c>
      <c r="D18" s="34">
        <f t="shared" si="1"/>
        <v>28.891510231456657</v>
      </c>
      <c r="E18" s="15">
        <f t="shared" si="2"/>
        <v>0.03985969067215929</v>
      </c>
      <c r="F18" s="37">
        <f t="shared" si="3"/>
        <v>0.27901783470511504</v>
      </c>
    </row>
    <row r="19" spans="1:6" ht="12.75">
      <c r="A19" s="17">
        <v>8</v>
      </c>
      <c r="B19" s="14">
        <f t="shared" si="0"/>
        <v>6</v>
      </c>
      <c r="C19" s="35">
        <f t="shared" si="4"/>
        <v>3.9125591093883867</v>
      </c>
      <c r="D19" s="34">
        <f t="shared" si="1"/>
        <v>31.300472875107094</v>
      </c>
      <c r="E19" s="15">
        <f t="shared" si="2"/>
        <v>0.037785278862602426</v>
      </c>
      <c r="F19" s="37">
        <f t="shared" si="3"/>
        <v>0.3022822309008194</v>
      </c>
    </row>
    <row r="20" spans="1:6" ht="12.75">
      <c r="A20" s="17">
        <v>9</v>
      </c>
      <c r="B20" s="14">
        <f t="shared" si="0"/>
        <v>106</v>
      </c>
      <c r="C20" s="35">
        <f t="shared" si="4"/>
        <v>65.52457825309966</v>
      </c>
      <c r="D20" s="34">
        <f t="shared" si="1"/>
        <v>589.721204277897</v>
      </c>
      <c r="E20" s="15">
        <f t="shared" si="2"/>
        <v>0.632799247864862</v>
      </c>
      <c r="F20" s="37">
        <f t="shared" si="3"/>
        <v>5.695193230783758</v>
      </c>
    </row>
    <row r="21" spans="1:6" ht="13.5" thickBot="1">
      <c r="A21" s="17">
        <v>10</v>
      </c>
      <c r="B21" s="14">
        <f t="shared" si="0"/>
        <v>0</v>
      </c>
      <c r="C21" s="35">
        <f t="shared" si="4"/>
        <v>0</v>
      </c>
      <c r="D21" s="34">
        <f t="shared" si="1"/>
        <v>0</v>
      </c>
      <c r="E21" s="15">
        <f t="shared" si="2"/>
        <v>0</v>
      </c>
      <c r="F21" s="37">
        <f t="shared" si="3"/>
        <v>0</v>
      </c>
    </row>
    <row r="22" spans="1:6" ht="13.5" thickBot="1">
      <c r="A22" s="18" t="s">
        <v>7</v>
      </c>
      <c r="B22" s="19"/>
      <c r="C22" s="36">
        <f>SUM(C12:C21)</f>
        <v>103.54718099648062</v>
      </c>
      <c r="D22" s="36">
        <f>SUM(D12:D21)</f>
        <v>750.1869740208019</v>
      </c>
      <c r="E22" s="42">
        <f>SUM(E12:E21)</f>
        <v>1</v>
      </c>
      <c r="F22" s="38">
        <f>SUM(F12:F21)</f>
        <v>7.244880708498472</v>
      </c>
    </row>
    <row r="23" spans="3:6" ht="12.75">
      <c r="C23" s="28" t="s">
        <v>16</v>
      </c>
      <c r="D23" s="28" t="s">
        <v>17</v>
      </c>
      <c r="E23" s="28" t="s">
        <v>22</v>
      </c>
      <c r="F23" s="20" t="s">
        <v>8</v>
      </c>
    </row>
    <row r="24" ht="12.75">
      <c r="F24" s="20"/>
    </row>
    <row r="25" spans="1:6" ht="12.75">
      <c r="A25" s="27" t="s">
        <v>26</v>
      </c>
      <c r="D25" s="27">
        <f>-D22/(1+D8)/10000</f>
        <v>-0.07111451076128561</v>
      </c>
      <c r="F25" s="20"/>
    </row>
    <row r="26" spans="1:6" ht="12.75">
      <c r="A26" s="46" t="s">
        <v>27</v>
      </c>
      <c r="D26" s="27">
        <f>-D25/C22*10000</f>
        <v>6.867836485447407</v>
      </c>
      <c r="F26" s="20"/>
    </row>
    <row r="27" ht="13.5" thickBot="1">
      <c r="F27" s="20"/>
    </row>
    <row r="28" spans="1:7" ht="16.5" customHeight="1">
      <c r="A28" s="57" t="s">
        <v>28</v>
      </c>
      <c r="B28" s="58"/>
      <c r="C28" s="58"/>
      <c r="D28" s="59">
        <f>-100+D29</f>
        <v>1</v>
      </c>
      <c r="E28" s="60">
        <f>D28/10000+D8</f>
        <v>0.055</v>
      </c>
      <c r="F28" s="61"/>
      <c r="G28" s="62"/>
    </row>
    <row r="29" spans="1:7" ht="12.75">
      <c r="A29" s="63"/>
      <c r="B29" s="52"/>
      <c r="C29" s="52"/>
      <c r="D29" s="53">
        <v>101</v>
      </c>
      <c r="E29" s="52" t="s">
        <v>30</v>
      </c>
      <c r="F29" s="71" t="s">
        <v>32</v>
      </c>
      <c r="G29" s="64" t="s">
        <v>33</v>
      </c>
    </row>
    <row r="30" spans="1:7" ht="12.75">
      <c r="A30" s="63" t="s">
        <v>29</v>
      </c>
      <c r="B30" s="52"/>
      <c r="C30" s="52"/>
      <c r="D30" s="54">
        <f>D25*D28</f>
        <v>-0.07111451076128561</v>
      </c>
      <c r="E30" s="54">
        <f>C22</f>
        <v>103.54718099648062</v>
      </c>
      <c r="F30" s="55">
        <f>D30*D28/10000+E30</f>
        <v>103.54717388502954</v>
      </c>
      <c r="G30" s="65">
        <f>_XLL.KURS(E6-1,F6,D7,E28,100,1,4)</f>
        <v>103.47609762458072</v>
      </c>
    </row>
    <row r="31" spans="1:7" ht="12.75">
      <c r="A31" s="63" t="s">
        <v>31</v>
      </c>
      <c r="B31" s="52"/>
      <c r="C31" s="52"/>
      <c r="D31" s="52"/>
      <c r="E31" s="56">
        <f>E30</f>
        <v>103.54718099648062</v>
      </c>
      <c r="F31" s="55">
        <f>E31*(1-D32)</f>
        <v>103.54718099648062</v>
      </c>
      <c r="G31" s="65">
        <f>_XLL.KURS(E6-1,F6,D7,E28,100,1,4)</f>
        <v>103.47609762458072</v>
      </c>
    </row>
    <row r="32" spans="1:7" ht="13.5" thickBot="1">
      <c r="A32" s="66"/>
      <c r="B32" s="67"/>
      <c r="C32" s="67" t="s">
        <v>34</v>
      </c>
      <c r="D32" s="68"/>
      <c r="E32" s="67"/>
      <c r="F32" s="69">
        <f>D26/10000*D28</f>
        <v>0.0006867836485447408</v>
      </c>
      <c r="G32" s="70">
        <f>ABS(E31-G31)/E31</f>
        <v>0.0006864829270660555</v>
      </c>
    </row>
    <row r="33" spans="4:7" ht="13.5" thickBot="1">
      <c r="D33" s="48"/>
      <c r="F33" s="49"/>
      <c r="G33" s="50"/>
    </row>
    <row r="34" spans="1:6" ht="12.75">
      <c r="A34" s="2" t="s">
        <v>9</v>
      </c>
      <c r="B34" s="21"/>
      <c r="C34" s="21"/>
      <c r="D34" s="43">
        <f>DURATION(E6-1,F6,D7,D8,1,4)</f>
        <v>7.244880708498472</v>
      </c>
      <c r="E34" s="41" t="s">
        <v>24</v>
      </c>
      <c r="F34" s="39"/>
    </row>
    <row r="35" spans="1:4" ht="12.75">
      <c r="A35" s="4" t="s">
        <v>23</v>
      </c>
      <c r="B35" s="22"/>
      <c r="C35" s="22"/>
      <c r="D35" s="44">
        <f>_XLL.KURS(E6-1,F6,D7,D8,100,1,4)</f>
        <v>103.54718099648065</v>
      </c>
    </row>
    <row r="36" spans="1:4" ht="13.5" thickBot="1">
      <c r="A36" s="6" t="s">
        <v>25</v>
      </c>
      <c r="B36" s="25"/>
      <c r="C36" s="25"/>
      <c r="D36" s="45">
        <f>MDURATION(E6-1,F6,D7,D8,1,4)</f>
        <v>6.867836485447409</v>
      </c>
    </row>
    <row r="37" spans="1:5" ht="12.75">
      <c r="A37" s="4" t="s">
        <v>11</v>
      </c>
      <c r="B37" s="22"/>
      <c r="C37" s="22"/>
      <c r="D37" s="23">
        <f>D28/10000</f>
        <v>0.0001</v>
      </c>
      <c r="E37" s="24"/>
    </row>
    <row r="38" spans="1:4" ht="13.5" thickBot="1">
      <c r="A38" s="6" t="s">
        <v>12</v>
      </c>
      <c r="B38" s="25"/>
      <c r="C38" s="25"/>
      <c r="D38" s="51">
        <f>(-D36*D37*D35)</f>
        <v>-0.07111451076128565</v>
      </c>
    </row>
    <row r="40" ht="39" customHeight="1">
      <c r="B40" s="22"/>
    </row>
    <row r="41" ht="12.75">
      <c r="A41" t="s">
        <v>36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scale="8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Dr. Peter Weigand</cp:lastModifiedBy>
  <cp:lastPrinted>2002-07-01T11:09:22Z</cp:lastPrinted>
  <dcterms:created xsi:type="dcterms:W3CDTF">2002-06-27T14:32:33Z</dcterms:created>
  <dcterms:modified xsi:type="dcterms:W3CDTF">2004-06-16T16:48:40Z</dcterms:modified>
  <cp:category/>
  <cp:version/>
  <cp:contentType/>
  <cp:contentStatus/>
</cp:coreProperties>
</file>